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wein\Downloads\"/>
    </mc:Choice>
  </mc:AlternateContent>
  <bookViews>
    <workbookView xWindow="0" yWindow="0" windowWidth="28800" windowHeight="12420"/>
  </bookViews>
  <sheets>
    <sheet name="Tabelle1" sheetId="1" r:id="rId1"/>
  </sheets>
  <definedNames>
    <definedName name="a_">Tabelle1!$C$10</definedName>
    <definedName name="b_">Tabelle1!#REF!</definedName>
    <definedName name="bberechnung">Tabelle1!$I$16</definedName>
    <definedName name="bmax">Tabelle1!$I$19</definedName>
    <definedName name="bmin">Tabelle1!$I$13</definedName>
    <definedName name="bsonder">Tabelle1!$I$23</definedName>
    <definedName name="c_">Tabelle1!$C$11</definedName>
    <definedName name="Faktor">Tabelle1!$C$5</definedName>
    <definedName name="Freigang">Tabelle1!$C$7</definedName>
    <definedName name="hmax">Tabelle1!$C$13</definedName>
    <definedName name="hmin">Tabelle1!$C$19</definedName>
    <definedName name="Kopfhöhe">Tabelle1!$C$8</definedName>
    <definedName name="Modul">Tabelle1!$C$4</definedName>
    <definedName name="Theta_1">Tabelle1!$K$16</definedName>
    <definedName name="Theta_1max">Tabelle1!$K$19</definedName>
    <definedName name="Theta_1min">Tabelle1!$K$13</definedName>
    <definedName name="Theta_1Sonder">Tabelle1!$K$23</definedName>
    <definedName name="Theta_2">Tabelle1!$K$17</definedName>
    <definedName name="Theta_2max">Tabelle1!$K$20</definedName>
    <definedName name="Theta_2min">Tabelle1!$K$14</definedName>
    <definedName name="Theta_2Sonder">Tabelle1!$K$24</definedName>
    <definedName name="x">Tabelle1!#REF!</definedName>
    <definedName name="ZB">Tabelle1!$C$3</definedName>
    <definedName name="ZN">Tabelle1!$C$1</definedName>
    <definedName name="ZW">Tabelle1!$C$2</definedName>
  </definedNames>
  <calcPr calcId="152511" iterateDelta="1.0000000000000001E-9"/>
</workbook>
</file>

<file path=xl/calcChain.xml><?xml version="1.0" encoding="utf-8"?>
<calcChain xmlns="http://schemas.openxmlformats.org/spreadsheetml/2006/main">
  <c r="N23" i="1" l="1"/>
  <c r="N19" i="1"/>
  <c r="N16" i="1"/>
  <c r="N13" i="1"/>
  <c r="C7" i="1" l="1"/>
  <c r="K23" i="1"/>
  <c r="G16" i="1"/>
  <c r="G23" i="1"/>
  <c r="I23" i="1" s="1"/>
  <c r="C8" i="1"/>
  <c r="C11" i="1"/>
  <c r="C10" i="1"/>
  <c r="E16" i="1" s="1"/>
  <c r="L23" i="1" l="1"/>
  <c r="E24" i="1"/>
  <c r="C23" i="1"/>
  <c r="K17" i="1"/>
  <c r="L17" i="1" s="1"/>
  <c r="E17" i="1"/>
  <c r="E18" i="1" s="1"/>
  <c r="K24" i="1"/>
  <c r="L24" i="1" s="1"/>
  <c r="C16" i="1"/>
  <c r="K16" i="1"/>
  <c r="G13" i="1"/>
  <c r="I13" i="1" s="1"/>
  <c r="E13" i="1" s="1"/>
  <c r="C19" i="1"/>
  <c r="K20" i="1" l="1"/>
  <c r="L20" i="1" s="1"/>
  <c r="K19" i="1"/>
  <c r="E14" i="1"/>
  <c r="E15" i="1" s="1"/>
  <c r="L16" i="1"/>
  <c r="C13" i="1"/>
  <c r="K14" i="1"/>
  <c r="L14" i="1" s="1"/>
  <c r="K13" i="1"/>
  <c r="L13" i="1" l="1"/>
  <c r="L19" i="1"/>
  <c r="G19" i="1"/>
  <c r="I19" i="1" s="1"/>
  <c r="E19" i="1" l="1"/>
  <c r="E20" i="1"/>
  <c r="E25" i="1" l="1"/>
  <c r="E21" i="1"/>
</calcChain>
</file>

<file path=xl/sharedStrings.xml><?xml version="1.0" encoding="utf-8"?>
<sst xmlns="http://schemas.openxmlformats.org/spreadsheetml/2006/main" count="59" uniqueCount="58">
  <si>
    <t>Zähnezahl ZB</t>
  </si>
  <si>
    <t>Zähnezahl ZW</t>
  </si>
  <si>
    <t>Zähnezahl ZN</t>
  </si>
  <si>
    <t>Modul</t>
  </si>
  <si>
    <t>Freigang</t>
  </si>
  <si>
    <t>Kopfhöhe</t>
  </si>
  <si>
    <t>Theta_1</t>
  </si>
  <si>
    <t>Theta_2</t>
  </si>
  <si>
    <r>
      <t>-&gt; b</t>
    </r>
    <r>
      <rPr>
        <sz val="8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=</t>
    </r>
  </si>
  <si>
    <r>
      <t>-&gt; b</t>
    </r>
    <r>
      <rPr>
        <sz val="8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=</t>
    </r>
  </si>
  <si>
    <t>"Standard"-Getriebe</t>
  </si>
  <si>
    <t>Sonderfall: ZN&lt;ZW&lt;&lt;ZB</t>
  </si>
  <si>
    <r>
      <t>h</t>
    </r>
    <r>
      <rPr>
        <vertAlign val="subscript"/>
        <sz val="11"/>
        <color theme="1"/>
        <rFont val="Calibri"/>
        <family val="2"/>
        <scheme val="minor"/>
      </rPr>
      <t>(a)min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</si>
  <si>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(c)min</t>
    </r>
    <r>
      <rPr>
        <sz val="11"/>
        <color theme="1"/>
        <rFont val="Calibri"/>
        <family val="2"/>
        <scheme val="minor"/>
      </rPr>
      <t xml:space="preserve"> =</t>
    </r>
  </si>
  <si>
    <r>
      <t>Theta_1</t>
    </r>
    <r>
      <rPr>
        <vertAlign val="subscript"/>
        <sz val="11"/>
        <color theme="1"/>
        <rFont val="Calibri"/>
        <family val="2"/>
        <scheme val="minor"/>
      </rPr>
      <t>min</t>
    </r>
  </si>
  <si>
    <r>
      <t>Theta_2</t>
    </r>
    <r>
      <rPr>
        <vertAlign val="subscript"/>
        <sz val="11"/>
        <color theme="1"/>
        <rFont val="Calibri"/>
        <family val="2"/>
        <scheme val="minor"/>
      </rPr>
      <t>min</t>
    </r>
  </si>
  <si>
    <r>
      <t>h</t>
    </r>
    <r>
      <rPr>
        <vertAlign val="subscript"/>
        <sz val="11"/>
        <color theme="1"/>
        <rFont val="Calibri"/>
        <family val="2"/>
        <scheme val="minor"/>
      </rPr>
      <t>(a)max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</si>
  <si>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(c)max</t>
    </r>
    <r>
      <rPr>
        <sz val="11"/>
        <color theme="1"/>
        <rFont val="Calibri"/>
        <family val="2"/>
        <scheme val="minor"/>
      </rPr>
      <t xml:space="preserve"> =</t>
    </r>
  </si>
  <si>
    <r>
      <t>h=h</t>
    </r>
    <r>
      <rPr>
        <vertAlign val="subscript"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>+h</t>
    </r>
    <r>
      <rPr>
        <vertAlign val="subscript"/>
        <sz val="11"/>
        <color theme="1"/>
        <rFont val="Calibri"/>
        <family val="2"/>
        <scheme val="minor"/>
      </rPr>
      <t>(c)</t>
    </r>
  </si>
  <si>
    <r>
      <t>kleinst-zulässiger Abst.  = h</t>
    </r>
    <r>
      <rPr>
        <vertAlign val="subscript"/>
        <sz val="11"/>
        <color theme="1"/>
        <rFont val="Calibri"/>
        <family val="2"/>
        <scheme val="minor"/>
      </rPr>
      <t>min</t>
    </r>
  </si>
  <si>
    <r>
      <t>größt-zulässiger Abst. = h</t>
    </r>
    <r>
      <rPr>
        <vertAlign val="subscript"/>
        <sz val="11"/>
        <color theme="1"/>
        <rFont val="Calibri"/>
        <family val="2"/>
        <scheme val="minor"/>
      </rPr>
      <t>max</t>
    </r>
  </si>
  <si>
    <t xml:space="preserve">| </t>
  </si>
  <si>
    <t xml:space="preserve">V </t>
  </si>
  <si>
    <r>
      <t>Theta_1</t>
    </r>
    <r>
      <rPr>
        <vertAlign val="subscript"/>
        <sz val="11"/>
        <color theme="1"/>
        <rFont val="Calibri"/>
        <family val="2"/>
        <scheme val="minor"/>
      </rPr>
      <t>max</t>
    </r>
  </si>
  <si>
    <r>
      <t>Theta_2</t>
    </r>
    <r>
      <rPr>
        <vertAlign val="subscript"/>
        <sz val="11"/>
        <color theme="1"/>
        <rFont val="Calibri"/>
        <family val="2"/>
        <scheme val="minor"/>
      </rPr>
      <t>max</t>
    </r>
  </si>
  <si>
    <r>
      <t>Theta_1</t>
    </r>
    <r>
      <rPr>
        <vertAlign val="subscript"/>
        <sz val="11"/>
        <color theme="1"/>
        <rFont val="Calibri"/>
        <family val="2"/>
        <scheme val="minor"/>
      </rPr>
      <t>Sonder</t>
    </r>
  </si>
  <si>
    <r>
      <t>Theta_2</t>
    </r>
    <r>
      <rPr>
        <vertAlign val="subscript"/>
        <sz val="11"/>
        <color theme="1"/>
        <rFont val="Calibri"/>
        <family val="2"/>
        <scheme val="minor"/>
      </rPr>
      <t>Sonder</t>
    </r>
  </si>
  <si>
    <r>
      <t>größt-zulässiger Abst. = 2*b</t>
    </r>
    <r>
      <rPr>
        <vertAlign val="subscript"/>
        <sz val="11"/>
        <color theme="1"/>
        <rFont val="Calibri"/>
        <family val="2"/>
        <scheme val="minor"/>
      </rPr>
      <t>max</t>
    </r>
  </si>
  <si>
    <r>
      <t xml:space="preserve">kleinst-zulässiger Abst.  = 2*b </t>
    </r>
    <r>
      <rPr>
        <vertAlign val="subscript"/>
        <sz val="11"/>
        <color theme="1"/>
        <rFont val="Calibri"/>
        <family val="2"/>
        <scheme val="minor"/>
      </rPr>
      <t>min</t>
    </r>
  </si>
  <si>
    <r>
      <t>-&gt; b</t>
    </r>
    <r>
      <rPr>
        <vertAlign val="subscript"/>
        <sz val="11"/>
        <color theme="1"/>
        <rFont val="Calibri"/>
        <family val="2"/>
        <scheme val="minor"/>
      </rPr>
      <t>Sonder</t>
    </r>
    <r>
      <rPr>
        <sz val="11"/>
        <color theme="1"/>
        <rFont val="Calibri"/>
        <family val="2"/>
        <scheme val="minor"/>
      </rPr>
      <t xml:space="preserve"> =</t>
    </r>
  </si>
  <si>
    <r>
      <t>größt-zulässiger Abst. = 2*b</t>
    </r>
    <r>
      <rPr>
        <vertAlign val="subscript"/>
        <sz val="11"/>
        <color theme="1"/>
        <rFont val="Calibri"/>
        <family val="2"/>
        <scheme val="minor"/>
      </rPr>
      <t>Sonder</t>
    </r>
  </si>
  <si>
    <r>
      <t>&lt;- b</t>
    </r>
    <r>
      <rPr>
        <vertAlign val="subscript"/>
        <sz val="11"/>
        <color theme="1"/>
        <rFont val="Calibri"/>
        <family val="2"/>
        <scheme val="minor"/>
      </rPr>
      <t>berechnung</t>
    </r>
    <r>
      <rPr>
        <sz val="11"/>
        <color theme="1"/>
        <rFont val="Calibri"/>
        <family val="2"/>
        <scheme val="minor"/>
      </rPr>
      <t xml:space="preserve"> =</t>
    </r>
  </si>
  <si>
    <t>Modul-Faktor f. Freigang</t>
  </si>
  <si>
    <t xml:space="preserve">Achsabstand ZW&lt;-&gt;ZW = 2*b      </t>
  </si>
  <si>
    <t xml:space="preserve">Achsabstand ZN&lt;-&gt;ZB = h     </t>
  </si>
  <si>
    <t>Achsabstand ZN&lt;-&gt;ZW = a</t>
  </si>
  <si>
    <t>Achsabstand ZW&lt;-&gt;ZB = c</t>
  </si>
  <si>
    <t>Der Achsabstand ZN&lt;-&gt;ZB ist gleich der Summe der auf diese Verbindungslinie geloteten Teilmaße für a und c</t>
  </si>
  <si>
    <t>a_ &amp; c_</t>
  </si>
  <si>
    <r>
      <t>da der Name "c" für Excel-interne Spalten-Benennungen (</t>
    </r>
    <r>
      <rPr>
        <u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olumn) verwendet wird, habe ich "a" ebenfalls mit Unterstrich versehen</t>
    </r>
  </si>
  <si>
    <t>da diese Variablen im Zuge der Getriebe-Veränderung ... veränderlich sind, habe ich sie mit selbsterklärenden Indizes versehen</t>
  </si>
  <si>
    <r>
      <t>h</t>
    </r>
    <r>
      <rPr>
        <vertAlign val="subscript"/>
        <sz val="11"/>
        <color theme="1"/>
        <rFont val="Calibri"/>
        <family val="2"/>
        <scheme val="minor"/>
      </rPr>
      <t xml:space="preserve">(a)        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</si>
  <si>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 xml:space="preserve">(c)        </t>
    </r>
    <r>
      <rPr>
        <sz val="11"/>
        <color theme="1"/>
        <rFont val="Calibri"/>
        <family val="2"/>
        <scheme val="minor"/>
      </rPr>
      <t xml:space="preserve"> =</t>
    </r>
  </si>
  <si>
    <r>
      <t>kleinst-zulässiger Abst.  = h</t>
    </r>
    <r>
      <rPr>
        <vertAlign val="subscript"/>
        <sz val="11"/>
        <color theme="1"/>
        <rFont val="Calibri"/>
        <family val="2"/>
        <scheme val="minor"/>
      </rPr>
      <t>Sonder</t>
    </r>
  </si>
  <si>
    <r>
      <t>h</t>
    </r>
    <r>
      <rPr>
        <vertAlign val="subscript"/>
        <sz val="11"/>
        <color theme="1"/>
        <rFont val="Calibri"/>
        <family val="2"/>
        <scheme val="minor"/>
      </rPr>
      <t>(a)Sonder</t>
    </r>
    <r>
      <rPr>
        <sz val="11"/>
        <color theme="1"/>
        <rFont val="Calibri"/>
        <family val="2"/>
        <scheme val="minor"/>
      </rPr>
      <t xml:space="preserve"> =</t>
    </r>
  </si>
  <si>
    <r>
      <t>h</t>
    </r>
    <r>
      <rPr>
        <vertAlign val="subscript"/>
        <sz val="11"/>
        <color theme="1"/>
        <rFont val="Calibri"/>
        <family val="2"/>
        <scheme val="minor"/>
      </rPr>
      <t>(c)Sonder</t>
    </r>
    <r>
      <rPr>
        <sz val="11"/>
        <color theme="1"/>
        <rFont val="Calibri"/>
        <family val="2"/>
        <scheme val="minor"/>
      </rPr>
      <t xml:space="preserve"> =</t>
    </r>
  </si>
  <si>
    <r>
      <t>Zähne</t>
    </r>
    <r>
      <rPr>
        <vertAlign val="subscript"/>
        <sz val="11"/>
        <color theme="1"/>
        <rFont val="Calibri"/>
        <family val="2"/>
        <scheme val="minor"/>
      </rPr>
      <t>min</t>
    </r>
  </si>
  <si>
    <r>
      <t>Zähne</t>
    </r>
    <r>
      <rPr>
        <vertAlign val="subscript"/>
        <sz val="11"/>
        <color theme="1"/>
        <rFont val="Calibri"/>
        <family val="2"/>
        <scheme val="minor"/>
      </rPr>
      <t>max</t>
    </r>
  </si>
  <si>
    <r>
      <t>Zähne</t>
    </r>
    <r>
      <rPr>
        <vertAlign val="subscript"/>
        <sz val="11"/>
        <color theme="1"/>
        <rFont val="Calibri"/>
        <family val="2"/>
        <scheme val="minor"/>
      </rPr>
      <t>Sonder</t>
    </r>
  </si>
  <si>
    <t>werden</t>
  </si>
  <si>
    <t>ganzzahlig</t>
  </si>
  <si>
    <t>&lt;-Zielwertsuche</t>
  </si>
  <si>
    <t>soll per</t>
  </si>
  <si>
    <r>
      <t>Zähne</t>
    </r>
    <r>
      <rPr>
        <vertAlign val="subscript"/>
        <sz val="11"/>
        <color theme="1"/>
        <rFont val="Calibri"/>
        <family val="2"/>
        <scheme val="minor"/>
      </rPr>
      <t>Ganzzahl</t>
    </r>
  </si>
  <si>
    <r>
      <t>Zähne</t>
    </r>
    <r>
      <rPr>
        <vertAlign val="subscript"/>
        <sz val="11"/>
        <color theme="1"/>
        <rFont val="Calibri"/>
        <family val="2"/>
        <scheme val="minor"/>
      </rPr>
      <t>index</t>
    </r>
  </si>
  <si>
    <r>
      <t>nur dann, wenn der bei diesem Achsabstand ZW&lt;-&gt;ZW ermittelte Achsabstand ZN&lt;-&gt;ZB (h</t>
    </r>
    <r>
      <rPr>
        <vertAlign val="subscript"/>
        <sz val="11"/>
        <color theme="1"/>
        <rFont val="Calibri"/>
        <family val="2"/>
        <scheme val="minor"/>
      </rPr>
      <t>Sonder</t>
    </r>
    <r>
      <rPr>
        <sz val="11"/>
        <color theme="1"/>
        <rFont val="Calibri"/>
        <family val="2"/>
        <scheme val="minor"/>
      </rPr>
      <t>) größer ist als h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bzw. Theta_1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größer ist als 90° ... für den "Durchschlag"-Bereich werden noch keine h ermittelt</t>
    </r>
  </si>
  <si>
    <r>
      <t>b</t>
    </r>
    <r>
      <rPr>
        <vertAlign val="subscript"/>
        <sz val="11"/>
        <color theme="1"/>
        <rFont val="Calibri"/>
        <family val="2"/>
        <scheme val="minor"/>
      </rPr>
      <t>index</t>
    </r>
    <r>
      <rPr>
        <sz val="11"/>
        <color theme="1"/>
        <rFont val="Calibri"/>
        <family val="2"/>
        <scheme val="minor"/>
      </rPr>
      <t xml:space="preserve"> h</t>
    </r>
    <r>
      <rPr>
        <vertAlign val="subscript"/>
        <sz val="11"/>
        <color theme="1"/>
        <rFont val="Calibri"/>
        <family val="2"/>
        <scheme val="minor"/>
      </rPr>
      <t>index</t>
    </r>
    <r>
      <rPr>
        <sz val="11"/>
        <color theme="1"/>
        <rFont val="Calibri"/>
        <family val="2"/>
        <scheme val="minor"/>
      </rPr>
      <t xml:space="preserve"> Theta_*</t>
    </r>
    <r>
      <rPr>
        <vertAlign val="subscript"/>
        <sz val="11"/>
        <color theme="1"/>
        <rFont val="Calibri"/>
        <family val="2"/>
        <scheme val="minor"/>
      </rPr>
      <t>index</t>
    </r>
    <r>
      <rPr>
        <sz val="11"/>
        <color theme="1"/>
        <rFont val="Calibri"/>
        <family val="2"/>
        <scheme val="minor"/>
      </rPr>
      <t xml:space="preserve"> Zähne</t>
    </r>
    <r>
      <rPr>
        <vertAlign val="subscript"/>
        <sz val="11"/>
        <color theme="1"/>
        <rFont val="Calibri"/>
        <family val="2"/>
        <scheme val="minor"/>
      </rPr>
      <t>index</t>
    </r>
  </si>
  <si>
    <t>da die beiden äußeren Hälften der ZW-Umschlingungen nur die Zähnezahl ZW addieren, könnte PI() in der Summe bei ZW entfallen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</si>
</sst>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\°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0" applyNumberFormat="1" applyProtection="1">
      <protection locked="0"/>
    </xf>
    <xf numFmtId="49" fontId="0" fillId="4" borderId="0" xfId="0" applyNumberFormat="1" applyFill="1"/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top"/>
    </xf>
    <xf numFmtId="0" fontId="0" fillId="6" borderId="0" xfId="0" applyFill="1" applyProtection="1">
      <protection locked="0"/>
    </xf>
    <xf numFmtId="0" fontId="0" fillId="2" borderId="2" xfId="0" applyFill="1" applyBorder="1"/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0" borderId="10" xfId="0" applyBorder="1"/>
    <xf numFmtId="0" fontId="3" fillId="0" borderId="10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I16" sqref="I16"/>
    </sheetView>
  </sheetViews>
  <sheetFormatPr baseColWidth="10" defaultRowHeight="15" x14ac:dyDescent="0.25"/>
  <cols>
    <col min="1" max="1" width="21.85546875" bestFit="1" customWidth="1"/>
    <col min="2" max="2" width="29.28515625" bestFit="1" customWidth="1"/>
    <col min="3" max="3" width="14.7109375" customWidth="1"/>
    <col min="4" max="4" width="9.42578125" customWidth="1"/>
    <col min="5" max="5" width="14.28515625" customWidth="1"/>
    <col min="6" max="6" width="29.85546875" bestFit="1" customWidth="1"/>
    <col min="7" max="7" width="9.5703125" customWidth="1"/>
    <col min="8" max="8" width="12.42578125" bestFit="1" customWidth="1"/>
    <col min="9" max="9" width="14.140625" customWidth="1"/>
    <col min="10" max="12" width="14.28515625" customWidth="1"/>
    <col min="13" max="13" width="16.28515625" bestFit="1" customWidth="1"/>
    <col min="14" max="14" width="13.5703125" customWidth="1"/>
    <col min="15" max="15" width="15.28515625" bestFit="1" customWidth="1"/>
    <col min="16" max="16" width="16.28515625" bestFit="1" customWidth="1"/>
  </cols>
  <sheetData>
    <row r="1" spans="2:19" x14ac:dyDescent="0.25">
      <c r="B1" s="14" t="s">
        <v>2</v>
      </c>
      <c r="C1" s="19">
        <v>12</v>
      </c>
      <c r="F1" s="7" t="s">
        <v>38</v>
      </c>
      <c r="G1" s="7" t="s">
        <v>39</v>
      </c>
      <c r="H1" s="7"/>
      <c r="I1" s="7"/>
      <c r="J1" s="7"/>
      <c r="K1" s="7"/>
      <c r="L1" s="7"/>
      <c r="M1" s="7"/>
      <c r="N1" s="7"/>
      <c r="O1" s="7"/>
    </row>
    <row r="2" spans="2:19" x14ac:dyDescent="0.25">
      <c r="B2" s="15" t="s">
        <v>1</v>
      </c>
      <c r="C2" s="20">
        <v>30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19" ht="18" x14ac:dyDescent="0.35">
      <c r="B3" s="15" t="s">
        <v>0</v>
      </c>
      <c r="C3" s="20">
        <v>800</v>
      </c>
      <c r="F3" s="7" t="s">
        <v>18</v>
      </c>
      <c r="G3" s="7" t="s">
        <v>37</v>
      </c>
      <c r="H3" s="7"/>
      <c r="I3" s="7"/>
      <c r="J3" s="7"/>
      <c r="K3" s="7"/>
      <c r="L3" s="7"/>
      <c r="M3" s="7"/>
      <c r="N3" s="7"/>
      <c r="O3" s="7"/>
    </row>
    <row r="4" spans="2:19" x14ac:dyDescent="0.25">
      <c r="B4" s="15" t="s">
        <v>3</v>
      </c>
      <c r="C4" s="20">
        <v>1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2:19" ht="18" x14ac:dyDescent="0.35">
      <c r="B5" s="16" t="s">
        <v>32</v>
      </c>
      <c r="C5" s="21">
        <v>1</v>
      </c>
      <c r="F5" s="7" t="s">
        <v>56</v>
      </c>
      <c r="G5" s="7" t="s">
        <v>40</v>
      </c>
      <c r="H5" s="7"/>
      <c r="I5" s="7"/>
      <c r="J5" s="7"/>
      <c r="K5" s="7"/>
      <c r="L5" s="7"/>
      <c r="M5" s="7"/>
      <c r="N5" s="7"/>
      <c r="O5" s="7"/>
    </row>
    <row r="6" spans="2:19" x14ac:dyDescent="0.25">
      <c r="F6" s="7"/>
      <c r="G6" s="7"/>
      <c r="H6" s="7"/>
      <c r="I6" s="7"/>
      <c r="J6" s="7"/>
      <c r="K6" s="7"/>
      <c r="L6" s="7"/>
      <c r="M6" s="7"/>
      <c r="N6" s="7"/>
      <c r="O6" s="7"/>
      <c r="S6" s="10"/>
    </row>
    <row r="7" spans="2:19" ht="18" x14ac:dyDescent="0.35">
      <c r="B7" s="14" t="s">
        <v>4</v>
      </c>
      <c r="C7" s="17">
        <f>Modul*Faktor</f>
        <v>1</v>
      </c>
      <c r="F7" s="7" t="s">
        <v>54</v>
      </c>
      <c r="G7" s="7" t="s">
        <v>57</v>
      </c>
      <c r="H7" s="7"/>
      <c r="I7" s="7"/>
      <c r="J7" s="7"/>
      <c r="K7" s="7"/>
      <c r="L7" s="7"/>
      <c r="M7" s="7"/>
      <c r="N7" s="7"/>
      <c r="O7" s="7"/>
    </row>
    <row r="8" spans="2:19" x14ac:dyDescent="0.25">
      <c r="B8" s="16" t="s">
        <v>5</v>
      </c>
      <c r="C8" s="18">
        <f>1*Modul</f>
        <v>1</v>
      </c>
      <c r="F8" s="7"/>
      <c r="G8" s="7"/>
      <c r="H8" s="7"/>
      <c r="I8" s="7"/>
      <c r="J8" s="7"/>
      <c r="K8" s="7"/>
      <c r="L8" s="7"/>
      <c r="M8" s="7"/>
      <c r="N8" s="7"/>
      <c r="O8" s="7"/>
    </row>
    <row r="9" spans="2:19" x14ac:dyDescent="0.25">
      <c r="F9" s="7"/>
      <c r="G9" s="7"/>
      <c r="H9" s="7"/>
      <c r="I9" s="7"/>
      <c r="J9" s="7"/>
      <c r="K9" s="7"/>
      <c r="L9" s="7"/>
      <c r="M9" s="7"/>
      <c r="N9" s="7"/>
      <c r="O9" s="7"/>
    </row>
    <row r="10" spans="2:19" x14ac:dyDescent="0.25">
      <c r="B10" s="22" t="s">
        <v>35</v>
      </c>
      <c r="C10" s="24">
        <f>Modul*(ZN+ZW)/2</f>
        <v>21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9" x14ac:dyDescent="0.25">
      <c r="B11" s="23" t="s">
        <v>36</v>
      </c>
      <c r="C11" s="25">
        <f>Modul*(ZW+ZB)/2</f>
        <v>415</v>
      </c>
      <c r="F11" s="7"/>
      <c r="G11" s="7"/>
      <c r="H11" s="7"/>
      <c r="I11" s="7"/>
      <c r="J11" s="7"/>
      <c r="K11" s="7"/>
      <c r="L11" s="7"/>
      <c r="M11" s="7"/>
      <c r="N11" s="7"/>
      <c r="O11" s="7"/>
    </row>
    <row r="13" spans="2:19" ht="18" x14ac:dyDescent="0.35">
      <c r="B13" s="4" t="s">
        <v>20</v>
      </c>
      <c r="C13" s="2">
        <f>SQRT(a_^2-bmin^2)+SQRT(c_^2-bmin^2)</f>
        <v>427.66223927721541</v>
      </c>
      <c r="D13" s="4" t="s">
        <v>16</v>
      </c>
      <c r="E13">
        <f>SQRT(a_^2-bmin^2)</f>
        <v>12.99038105676658</v>
      </c>
      <c r="F13" s="8" t="s">
        <v>28</v>
      </c>
      <c r="G13" s="2">
        <f>Modul*ZW+2*Kopfhöhe+Freigang</f>
        <v>33</v>
      </c>
      <c r="H13" s="5" t="s">
        <v>8</v>
      </c>
      <c r="I13">
        <f>G13/2</f>
        <v>16.5</v>
      </c>
      <c r="J13" s="2" t="s">
        <v>14</v>
      </c>
      <c r="K13" s="2">
        <f>ASIN(bmin/a_)</f>
        <v>0.90384998229123237</v>
      </c>
      <c r="L13" s="6">
        <f>Theta_1min*180/PI()</f>
        <v>51.786789298261809</v>
      </c>
      <c r="M13" s="4" t="s">
        <v>46</v>
      </c>
      <c r="N13">
        <f>ZN*Theta_1min/PI()+ZW*(PI()+Theta_1min+Theta_2min)/PI()+ZB*Theta_2min/PI()</f>
        <v>52.590579864297375</v>
      </c>
    </row>
    <row r="14" spans="2:19" ht="18" x14ac:dyDescent="0.35">
      <c r="D14" s="4" t="s">
        <v>17</v>
      </c>
      <c r="E14">
        <f>SQRT(c_^2-bmin^2)</f>
        <v>414.67185822044883</v>
      </c>
      <c r="J14" s="2" t="s">
        <v>15</v>
      </c>
      <c r="K14" s="2">
        <f>ASIN(bmin/c_)</f>
        <v>3.9769518657564298E-2</v>
      </c>
      <c r="L14" s="6">
        <f>Theta_2min*180/PI()</f>
        <v>2.2786255723452178</v>
      </c>
    </row>
    <row r="15" spans="2:19" ht="15.75" thickBot="1" x14ac:dyDescent="0.3">
      <c r="E15" s="11">
        <f>E13+E14</f>
        <v>427.66223927721541</v>
      </c>
      <c r="O15" s="4" t="s">
        <v>52</v>
      </c>
    </row>
    <row r="16" spans="2:19" ht="19.5" thickTop="1" thickBot="1" x14ac:dyDescent="0.4">
      <c r="B16" s="8" t="s">
        <v>34</v>
      </c>
      <c r="C16" s="3">
        <f>SQRT(a_^2-bberechnung^2)+SQRT(c_^2-bberechnung^2)</f>
        <v>420.0097799382703</v>
      </c>
      <c r="D16" s="4" t="s">
        <v>41</v>
      </c>
      <c r="E16">
        <f>SQRT(a_^2-bberechnung^2)</f>
        <v>5.504889962888317</v>
      </c>
      <c r="F16" s="4" t="s">
        <v>33</v>
      </c>
      <c r="G16">
        <f>2*bberechnung</f>
        <v>40.531281079999999</v>
      </c>
      <c r="H16" s="5" t="s">
        <v>31</v>
      </c>
      <c r="I16" s="13">
        <v>20.26564054</v>
      </c>
      <c r="J16" s="1" t="s">
        <v>6</v>
      </c>
      <c r="K16" s="1">
        <f>ASIN(bberechnung/a_)</f>
        <v>1.3055597106523229</v>
      </c>
      <c r="L16" s="6">
        <f>Theta_1*180/PI()</f>
        <v>74.803061322699051</v>
      </c>
      <c r="M16" s="8" t="s">
        <v>53</v>
      </c>
      <c r="N16" s="12">
        <f>ZN*Theta_1/PI()+ZW*(PI()+Theta_1+Theta_2)/PI()+ZB*Theta_2/PI()</f>
        <v>60.36068821426116</v>
      </c>
      <c r="O16" s="4" t="s">
        <v>51</v>
      </c>
    </row>
    <row r="17" spans="1:15" ht="18.75" thickTop="1" x14ac:dyDescent="0.35">
      <c r="D17" s="4" t="s">
        <v>42</v>
      </c>
      <c r="E17">
        <f>SQRT(c_^2-bberechnung^2)</f>
        <v>414.50488997538196</v>
      </c>
      <c r="J17" s="1" t="s">
        <v>7</v>
      </c>
      <c r="K17" s="1">
        <f>ASIN(bberechnung/c_)</f>
        <v>4.8852297836693342E-2</v>
      </c>
      <c r="L17" s="6">
        <f>Theta_2*180/PI()</f>
        <v>2.7990304855586103</v>
      </c>
      <c r="O17" s="4" t="s">
        <v>50</v>
      </c>
    </row>
    <row r="18" spans="1:15" x14ac:dyDescent="0.25">
      <c r="E18" s="11">
        <f>E16+E17</f>
        <v>420.0097799382703</v>
      </c>
      <c r="O18" s="4" t="s">
        <v>49</v>
      </c>
    </row>
    <row r="19" spans="1:15" ht="18" x14ac:dyDescent="0.35">
      <c r="A19" s="5" t="s">
        <v>10</v>
      </c>
      <c r="B19" s="8" t="s">
        <v>19</v>
      </c>
      <c r="C19" s="1">
        <f>Modul*(ZN+ZB)/2+2*Kopfhöhe+Freigang</f>
        <v>409</v>
      </c>
      <c r="D19" s="4" t="s">
        <v>12</v>
      </c>
      <c r="E19">
        <f>IF(Theta_1max&lt;PI()/2,SQRT(a_^2-bmax^2),0-SQRT(a_^2-bmax^2))</f>
        <v>-5.5048899755501237</v>
      </c>
      <c r="F19" s="4" t="s">
        <v>27</v>
      </c>
      <c r="G19" s="2">
        <f>2*SIN(Theta_1max)*a_</f>
        <v>40.531281073121178</v>
      </c>
      <c r="H19" s="5" t="s">
        <v>9</v>
      </c>
      <c r="I19">
        <f>G19/2</f>
        <v>20.265640536560589</v>
      </c>
      <c r="J19" s="2" t="s">
        <v>23</v>
      </c>
      <c r="K19" s="2">
        <f>ACOS((-0.5*c_^2+0.5*hmin^2+0.5*a_^2)/(hmin*a_))</f>
        <v>1.8360329435622622</v>
      </c>
      <c r="L19" s="6">
        <f>Theta_1max*180/PI()</f>
        <v>105.1969387130989</v>
      </c>
      <c r="M19" s="4" t="s">
        <v>47</v>
      </c>
      <c r="N19">
        <f>ZN*Theta_1max/PI()+ZW*(PI()+Theta_1max+Theta_2max)/PI()+ZB*Theta_2max/PI()</f>
        <v>67.452592936495378</v>
      </c>
    </row>
    <row r="20" spans="1:15" ht="18" x14ac:dyDescent="0.35">
      <c r="D20" s="4" t="s">
        <v>13</v>
      </c>
      <c r="E20">
        <f>SQRT(c_^2-bmax^2)</f>
        <v>414.5048899755501</v>
      </c>
      <c r="J20" s="2" t="s">
        <v>24</v>
      </c>
      <c r="K20" s="2">
        <f>ACOS((-0.5*a_^2+0.5*hmin^2+0.5*c_^2)/(hmin*c_))</f>
        <v>4.8852297828394953E-2</v>
      </c>
      <c r="L20" s="6">
        <f>Theta_2max*180/PI()</f>
        <v>2.7990304850831476</v>
      </c>
    </row>
    <row r="21" spans="1:15" x14ac:dyDescent="0.25">
      <c r="A21" s="26"/>
      <c r="B21" s="26"/>
      <c r="C21" s="26"/>
      <c r="D21" s="26"/>
      <c r="E21" s="27">
        <f>E19+E20</f>
        <v>409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3" spans="1:15" ht="18" x14ac:dyDescent="0.35">
      <c r="A23" s="5" t="s">
        <v>11</v>
      </c>
      <c r="B23" s="8" t="s">
        <v>43</v>
      </c>
      <c r="C23" s="2">
        <f>SQRT(c_^2-bsonder^2)</f>
        <v>414.46833413422553</v>
      </c>
      <c r="D23" s="4" t="s">
        <v>44</v>
      </c>
      <c r="E23">
        <v>0</v>
      </c>
      <c r="F23" s="4" t="s">
        <v>30</v>
      </c>
      <c r="G23" s="2">
        <f>Modul*(ZN+ZW)</f>
        <v>42</v>
      </c>
      <c r="H23" s="5" t="s">
        <v>29</v>
      </c>
      <c r="I23">
        <f>G23/2</f>
        <v>21</v>
      </c>
      <c r="J23" s="2" t="s">
        <v>25</v>
      </c>
      <c r="K23" s="2">
        <f>90*PI()/180</f>
        <v>1.5707963267948966</v>
      </c>
      <c r="L23" s="6">
        <f>Theta_1Sonder*180/PI()</f>
        <v>90</v>
      </c>
      <c r="M23" s="4" t="s">
        <v>48</v>
      </c>
      <c r="N23">
        <f>ZN*Theta_1Sonder/PI()+ZW*(PI()+Theta_1Sonder+Theta_2Sonder)/PI()+ZB*Theta_2Sonder/PI()</f>
        <v>64.374727262661125</v>
      </c>
    </row>
    <row r="24" spans="1:15" ht="18" x14ac:dyDescent="0.35">
      <c r="D24" s="4" t="s">
        <v>45</v>
      </c>
      <c r="E24">
        <f>SQRT(c_^2-bsonder^2)</f>
        <v>414.46833413422553</v>
      </c>
      <c r="G24" s="5" t="s">
        <v>21</v>
      </c>
      <c r="J24" s="2" t="s">
        <v>26</v>
      </c>
      <c r="K24" s="2">
        <f>ASIN(bsonder/c_)</f>
        <v>5.0624030014630512E-2</v>
      </c>
      <c r="L24" s="6">
        <f>Theta_2Sonder*180/PI()</f>
        <v>2.9005432617819316</v>
      </c>
    </row>
    <row r="25" spans="1:15" x14ac:dyDescent="0.25">
      <c r="E25" s="11">
        <f>E23+E24</f>
        <v>414.46833413422553</v>
      </c>
      <c r="G25" s="5" t="s">
        <v>21</v>
      </c>
    </row>
    <row r="26" spans="1:15" x14ac:dyDescent="0.25">
      <c r="G26" s="5" t="s">
        <v>22</v>
      </c>
    </row>
    <row r="27" spans="1:15" ht="18" x14ac:dyDescent="0.35">
      <c r="G27" s="9" t="s">
        <v>55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23</vt:i4>
      </vt:variant>
    </vt:vector>
  </HeadingPairs>
  <TitlesOfParts>
    <vt:vector size="24" baseType="lpstr">
      <vt:lpstr>Tabelle1</vt:lpstr>
      <vt:lpstr>a_</vt:lpstr>
      <vt:lpstr>bberechnung</vt:lpstr>
      <vt:lpstr>bmax</vt:lpstr>
      <vt:lpstr>bmin</vt:lpstr>
      <vt:lpstr>bsonder</vt:lpstr>
      <vt:lpstr>c_</vt:lpstr>
      <vt:lpstr>Faktor</vt:lpstr>
      <vt:lpstr>Freigang</vt:lpstr>
      <vt:lpstr>hmax</vt:lpstr>
      <vt:lpstr>hmin</vt:lpstr>
      <vt:lpstr>Kopfhöhe</vt:lpstr>
      <vt:lpstr>Modul</vt:lpstr>
      <vt:lpstr>Theta_1</vt:lpstr>
      <vt:lpstr>Theta_1max</vt:lpstr>
      <vt:lpstr>Theta_1min</vt:lpstr>
      <vt:lpstr>Theta_1Sonder</vt:lpstr>
      <vt:lpstr>Theta_2</vt:lpstr>
      <vt:lpstr>Theta_2max</vt:lpstr>
      <vt:lpstr>Theta_2min</vt:lpstr>
      <vt:lpstr>Theta_2Sonder</vt:lpstr>
      <vt:lpstr>ZB</vt:lpstr>
      <vt:lpstr>ZN</vt:lpstr>
      <vt:lpstr>ZW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gwein</dc:creator>
  <cp:lastModifiedBy>gwein</cp:lastModifiedBy>
  <dcterms:created xsi:type="dcterms:W3CDTF">2018-03-15T08:56:52Z</dcterms:created>
  <dcterms:modified xsi:type="dcterms:W3CDTF">2018-03-21T08:14:09Z</dcterms:modified>
</cp:coreProperties>
</file>